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ь" sheetId="1" state="visible" r:id="rId1"/>
    <sheet xmlns:r="http://schemas.openxmlformats.org/officeDocument/2006/relationships" name="Регулярные" sheetId="2" state="visible" r:id="rId2"/>
    <sheet xmlns:r="http://schemas.openxmlformats.org/officeDocument/2006/relationships"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₽;[Red]-#,##0 ₽;&quot;—&quot;"/>
    <numFmt numFmtId="165" formatCode="yyyy-mm-dd"/>
    <numFmt numFmtId="166" formatCode="DD.MM.YYYY"/>
    <numFmt numFmtId="167" formatCode="DD.MM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b val="1"/>
      <sz val="13"/>
    </font>
    <font>
      <sz val="1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164" fontId="2" fillId="2" borderId="0" pivotButton="0" quotePrefix="0" xfId="0"/>
    <xf numFmtId="0" fontId="0" fillId="0" borderId="0" applyAlignment="1" pivotButton="0" quotePrefix="0" xfId="0">
      <alignment vertical="top" wrapText="1"/>
    </xf>
    <xf numFmtId="166" fontId="0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167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2" borderId="1" pivotButton="0" quotePrefix="0" xfId="0"/>
    <xf numFmtId="167" fontId="0" fillId="4" borderId="1" pivotButton="0" quotePrefix="0" xfId="0"/>
    <xf numFmtId="0" fontId="0" fillId="4" borderId="1" pivotButton="0" quotePrefix="0" xfId="0"/>
    <xf numFmtId="0" fontId="2" fillId="0" borderId="0" pivotButton="0" quotePrefix="0" xfId="0"/>
    <xf numFmtId="164" fontId="2" fillId="0" borderId="1" pivotButton="0" quotePrefix="0" xfId="0"/>
    <xf numFmtId="164" fontId="2" fillId="0" borderId="0" pivotButton="0" quotePrefix="0" xfId="0"/>
    <xf numFmtId="164" fontId="0" fillId="0" borderId="0" pivotButton="0" quotePrefix="0" xfId="0"/>
    <xf numFmtId="0" fontId="3" fillId="3" borderId="1" pivotButton="0" quotePrefix="0" xfId="0"/>
    <xf numFmtId="0" fontId="0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6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5" customWidth="1" min="8" max="8"/>
    <col width="12" customWidth="1" min="9" max="9"/>
    <col width="15" customWidth="1" min="10" max="10"/>
    <col width="17" customWidth="1" min="11" max="11"/>
    <col width="20" customWidth="1" min="12" max="12"/>
  </cols>
  <sheetData>
    <row r="1">
      <c r="A1" s="1" t="inlineStr">
        <is>
          <t>Платёжный календарь</t>
        </is>
      </c>
    </row>
    <row r="2">
      <c r="A2" t="inlineStr">
        <is>
          <t>Остаток на счёте на начало, ₽</t>
        </is>
      </c>
      <c r="C2" s="2" t="n">
        <v>350000</v>
      </c>
      <c r="E2" s="3" t="inlineStr">
        <is>
          <t>Как пользоваться: меняете жёлтые ячейки, остальное считается само. План — что договорились, факт — что реально пришло на счёт; пока факт пустой, расчёт идёт по плану. Красная строка — кассовый разрыв, жёлтая — остаток ниже 10 % от стартового.</t>
        </is>
      </c>
    </row>
    <row r="3">
      <c r="A3" t="inlineStr">
        <is>
          <t>Первый день периода</t>
        </is>
      </c>
      <c r="C3" s="4" t="n">
        <v>46296</v>
      </c>
    </row>
    <row r="5" ht="32" customHeight="1">
      <c r="A5" s="5" t="inlineStr">
        <is>
          <t>Дата</t>
        </is>
      </c>
      <c r="B5" s="5" t="inlineStr">
        <is>
          <t>День</t>
        </is>
      </c>
      <c r="C5" s="5" t="inlineStr">
        <is>
          <t>Остаток на начало</t>
        </is>
      </c>
      <c r="D5" s="5" t="inlineStr">
        <is>
          <t>Поступления, план</t>
        </is>
      </c>
      <c r="E5" s="5" t="inlineStr">
        <is>
          <t>Поступления, факт</t>
        </is>
      </c>
      <c r="F5" s="5" t="inlineStr">
        <is>
          <t>Аренда и регулярные</t>
        </is>
      </c>
      <c r="G5" s="5" t="inlineStr">
        <is>
          <t>Зарплата и налоги</t>
        </is>
      </c>
      <c r="H5" s="5" t="inlineStr">
        <is>
          <t>Поставщики</t>
        </is>
      </c>
      <c r="I5" s="5" t="inlineStr">
        <is>
          <t>Прочее</t>
        </is>
      </c>
      <c r="J5" s="5" t="inlineStr">
        <is>
          <t>Расходы всего</t>
        </is>
      </c>
      <c r="K5" s="5" t="inlineStr">
        <is>
          <t>Остаток на конец</t>
        </is>
      </c>
      <c r="L5" s="5" t="inlineStr">
        <is>
          <t>Статус</t>
        </is>
      </c>
    </row>
    <row r="6">
      <c r="A6" s="6">
        <f>$C$3+0</f>
        <v/>
      </c>
      <c r="B6" s="7">
        <f>CHOOSE(WEEKDAY(A6,2),"пн","вт","ср","чт","пт","сб","вс")</f>
        <v/>
      </c>
      <c r="C6" s="8">
        <f>$C$2</f>
        <v/>
      </c>
      <c r="D6" s="9" t="n">
        <v>220000</v>
      </c>
      <c r="E6" s="9" t="n"/>
      <c r="F6" s="8">
        <f>SUMIF(Регулярные!$B$4:$B$40,DAY(A6),Регулярные!$C$4:$C$40)</f>
        <v/>
      </c>
      <c r="G6" s="9" t="n"/>
      <c r="H6" s="9" t="n"/>
      <c r="I6" s="9" t="n"/>
      <c r="J6" s="8">
        <f>SUM(F6:I6)</f>
        <v/>
      </c>
      <c r="K6" s="8">
        <f>C6+IF(E6&lt;&gt;"",E6,D6)-J6</f>
        <v/>
      </c>
      <c r="L6" s="7">
        <f>IF(K6&lt;0,"КАССОВЫЙ РАЗРЫВ",IF(K6&lt;$C$2*0.1,"мало денег","ок"))</f>
        <v/>
      </c>
    </row>
    <row r="7">
      <c r="A7" s="6">
        <f>$C$3+1</f>
        <v/>
      </c>
      <c r="B7" s="7">
        <f>CHOOSE(WEEKDAY(A7,2),"пн","вт","ср","чт","пт","сб","вс")</f>
        <v/>
      </c>
      <c r="C7" s="8">
        <f>K6</f>
        <v/>
      </c>
      <c r="D7" s="9" t="n"/>
      <c r="E7" s="9" t="n"/>
      <c r="F7" s="8">
        <f>SUMIF(Регулярные!$B$4:$B$40,DAY(A7),Регулярные!$C$4:$C$40)</f>
        <v/>
      </c>
      <c r="G7" s="9" t="n"/>
      <c r="H7" s="9" t="n"/>
      <c r="I7" s="9" t="n"/>
      <c r="J7" s="8">
        <f>SUM(F7:I7)</f>
        <v/>
      </c>
      <c r="K7" s="8">
        <f>C7+IF(E7&lt;&gt;"",E7,D7)-J7</f>
        <v/>
      </c>
      <c r="L7" s="7">
        <f>IF(K7&lt;0,"КАССОВЫЙ РАЗРЫВ",IF(K7&lt;$C$2*0.1,"мало денег","ок"))</f>
        <v/>
      </c>
    </row>
    <row r="8">
      <c r="A8" s="6">
        <f>$C$3+2</f>
        <v/>
      </c>
      <c r="B8" s="7">
        <f>CHOOSE(WEEKDAY(A8,2),"пн","вт","ср","чт","пт","сб","вс")</f>
        <v/>
      </c>
      <c r="C8" s="8">
        <f>K7</f>
        <v/>
      </c>
      <c r="D8" s="9" t="n"/>
      <c r="E8" s="9" t="n"/>
      <c r="F8" s="8">
        <f>SUMIF(Регулярные!$B$4:$B$40,DAY(A8),Регулярные!$C$4:$C$40)</f>
        <v/>
      </c>
      <c r="G8" s="9" t="n"/>
      <c r="H8" s="9" t="n">
        <v>210000</v>
      </c>
      <c r="I8" s="9" t="n"/>
      <c r="J8" s="8">
        <f>SUM(F8:I8)</f>
        <v/>
      </c>
      <c r="K8" s="8">
        <f>C8+IF(E8&lt;&gt;"",E8,D8)-J8</f>
        <v/>
      </c>
      <c r="L8" s="7">
        <f>IF(K8&lt;0,"КАССОВЫЙ РАЗРЫВ",IF(K8&lt;$C$2*0.1,"мало денег","ок"))</f>
        <v/>
      </c>
    </row>
    <row r="9">
      <c r="A9" s="6">
        <f>$C$3+3</f>
        <v/>
      </c>
      <c r="B9" s="7">
        <f>CHOOSE(WEEKDAY(A9,2),"пн","вт","ср","чт","пт","сб","вс")</f>
        <v/>
      </c>
      <c r="C9" s="8">
        <f>K8</f>
        <v/>
      </c>
      <c r="D9" s="9" t="n"/>
      <c r="E9" s="9" t="n"/>
      <c r="F9" s="8">
        <f>SUMIF(Регулярные!$B$4:$B$40,DAY(A9),Регулярные!$C$4:$C$40)</f>
        <v/>
      </c>
      <c r="G9" s="9" t="n"/>
      <c r="H9" s="9" t="n"/>
      <c r="I9" s="9" t="n"/>
      <c r="J9" s="8">
        <f>SUM(F9:I9)</f>
        <v/>
      </c>
      <c r="K9" s="8">
        <f>C9+IF(E9&lt;&gt;"",E9,D9)-J9</f>
        <v/>
      </c>
      <c r="L9" s="7">
        <f>IF(K9&lt;0,"КАССОВЫЙ РАЗРЫВ",IF(K9&lt;$C$2*0.1,"мало денег","ок"))</f>
        <v/>
      </c>
    </row>
    <row r="10">
      <c r="A10" s="6">
        <f>$C$3+4</f>
        <v/>
      </c>
      <c r="B10" s="7">
        <f>CHOOSE(WEEKDAY(A10,2),"пн","вт","ср","чт","пт","сб","вс")</f>
        <v/>
      </c>
      <c r="C10" s="8">
        <f>K9</f>
        <v/>
      </c>
      <c r="D10" s="9" t="n">
        <v>195000</v>
      </c>
      <c r="E10" s="9" t="n"/>
      <c r="F10" s="8">
        <f>SUMIF(Регулярные!$B$4:$B$40,DAY(A10),Регулярные!$C$4:$C$40)</f>
        <v/>
      </c>
      <c r="G10" s="9" t="n"/>
      <c r="H10" s="9" t="n"/>
      <c r="I10" s="9" t="n"/>
      <c r="J10" s="8">
        <f>SUM(F10:I10)</f>
        <v/>
      </c>
      <c r="K10" s="8">
        <f>C10+IF(E10&lt;&gt;"",E10,D10)-J10</f>
        <v/>
      </c>
      <c r="L10" s="7">
        <f>IF(K10&lt;0,"КАССОВЫЙ РАЗРЫВ",IF(K10&lt;$C$2*0.1,"мало денег","ок"))</f>
        <v/>
      </c>
    </row>
    <row r="11">
      <c r="A11" s="10">
        <f>$C$3+5</f>
        <v/>
      </c>
      <c r="B11" s="11">
        <f>CHOOSE(WEEKDAY(A11,2),"пн","вт","ср","чт","пт","сб","вс")</f>
        <v/>
      </c>
      <c r="C11" s="8">
        <f>K10</f>
        <v/>
      </c>
      <c r="D11" s="9" t="n"/>
      <c r="E11" s="9" t="n"/>
      <c r="F11" s="8">
        <f>SUMIF(Регулярные!$B$4:$B$40,DAY(A11),Регулярные!$C$4:$C$40)</f>
        <v/>
      </c>
      <c r="G11" s="9" t="n"/>
      <c r="H11" s="9" t="n"/>
      <c r="I11" s="9" t="n"/>
      <c r="J11" s="8">
        <f>SUM(F11:I11)</f>
        <v/>
      </c>
      <c r="K11" s="8">
        <f>C11+IF(E11&lt;&gt;"",E11,D11)-J11</f>
        <v/>
      </c>
      <c r="L11" s="7">
        <f>IF(K11&lt;0,"КАССОВЫЙ РАЗРЫВ",IF(K11&lt;$C$2*0.1,"мало денег","ок"))</f>
        <v/>
      </c>
    </row>
    <row r="12">
      <c r="A12" s="10">
        <f>$C$3+6</f>
        <v/>
      </c>
      <c r="B12" s="11">
        <f>CHOOSE(WEEKDAY(A12,2),"пн","вт","ср","чт","пт","сб","вс")</f>
        <v/>
      </c>
      <c r="C12" s="8">
        <f>K11</f>
        <v/>
      </c>
      <c r="D12" s="9" t="n"/>
      <c r="E12" s="9" t="n"/>
      <c r="F12" s="8">
        <f>SUMIF(Регулярные!$B$4:$B$40,DAY(A12),Регулярные!$C$4:$C$40)</f>
        <v/>
      </c>
      <c r="G12" s="9" t="n"/>
      <c r="H12" s="9" t="n"/>
      <c r="I12" s="9" t="n"/>
      <c r="J12" s="8">
        <f>SUM(F12:I12)</f>
        <v/>
      </c>
      <c r="K12" s="8">
        <f>C12+IF(E12&lt;&gt;"",E12,D12)-J12</f>
        <v/>
      </c>
      <c r="L12" s="7">
        <f>IF(K12&lt;0,"КАССОВЫЙ РАЗРЫВ",IF(K12&lt;$C$2*0.1,"мало денег","ок"))</f>
        <v/>
      </c>
    </row>
    <row r="13">
      <c r="A13" s="6">
        <f>$C$3+7</f>
        <v/>
      </c>
      <c r="B13" s="7">
        <f>CHOOSE(WEEKDAY(A13,2),"пн","вт","ср","чт","пт","сб","вс")</f>
        <v/>
      </c>
      <c r="C13" s="8">
        <f>K12</f>
        <v/>
      </c>
      <c r="D13" s="9" t="n"/>
      <c r="E13" s="9" t="n"/>
      <c r="F13" s="8">
        <f>SUMIF(Регулярные!$B$4:$B$40,DAY(A13),Регулярные!$C$4:$C$40)</f>
        <v/>
      </c>
      <c r="G13" s="9" t="n"/>
      <c r="H13" s="9" t="n"/>
      <c r="I13" s="9" t="n"/>
      <c r="J13" s="8">
        <f>SUM(F13:I13)</f>
        <v/>
      </c>
      <c r="K13" s="8">
        <f>C13+IF(E13&lt;&gt;"",E13,D13)-J13</f>
        <v/>
      </c>
      <c r="L13" s="7">
        <f>IF(K13&lt;0,"КАССОВЫЙ РАЗРЫВ",IF(K13&lt;$C$2*0.1,"мало денег","ок"))</f>
        <v/>
      </c>
    </row>
    <row r="14">
      <c r="A14" s="6">
        <f>$C$3+8</f>
        <v/>
      </c>
      <c r="B14" s="7">
        <f>CHOOSE(WEEKDAY(A14,2),"пн","вт","ср","чт","пт","сб","вс")</f>
        <v/>
      </c>
      <c r="C14" s="8">
        <f>K13</f>
        <v/>
      </c>
      <c r="D14" s="9" t="n"/>
      <c r="E14" s="9" t="n"/>
      <c r="F14" s="8">
        <f>SUMIF(Регулярные!$B$4:$B$40,DAY(A14),Регулярные!$C$4:$C$40)</f>
        <v/>
      </c>
      <c r="G14" s="9" t="n"/>
      <c r="H14" s="9" t="n"/>
      <c r="I14" s="9" t="n"/>
      <c r="J14" s="8">
        <f>SUM(F14:I14)</f>
        <v/>
      </c>
      <c r="K14" s="8">
        <f>C14+IF(E14&lt;&gt;"",E14,D14)-J14</f>
        <v/>
      </c>
      <c r="L14" s="7">
        <f>IF(K14&lt;0,"КАССОВЫЙ РАЗРЫВ",IF(K14&lt;$C$2*0.1,"мало денег","ок"))</f>
        <v/>
      </c>
    </row>
    <row r="15">
      <c r="A15" s="6">
        <f>$C$3+9</f>
        <v/>
      </c>
      <c r="B15" s="7">
        <f>CHOOSE(WEEKDAY(A15,2),"пн","вт","ср","чт","пт","сб","вс")</f>
        <v/>
      </c>
      <c r="C15" s="8">
        <f>K14</f>
        <v/>
      </c>
      <c r="D15" s="9" t="n"/>
      <c r="E15" s="9" t="n"/>
      <c r="F15" s="8">
        <f>SUMIF(Регулярные!$B$4:$B$40,DAY(A15),Регулярные!$C$4:$C$40)</f>
        <v/>
      </c>
      <c r="G15" s="9" t="n"/>
      <c r="H15" s="9" t="n">
        <v>180000</v>
      </c>
      <c r="I15" s="9" t="n"/>
      <c r="J15" s="8">
        <f>SUM(F15:I15)</f>
        <v/>
      </c>
      <c r="K15" s="8">
        <f>C15+IF(E15&lt;&gt;"",E15,D15)-J15</f>
        <v/>
      </c>
      <c r="L15" s="7">
        <f>IF(K15&lt;0,"КАССОВЫЙ РАЗРЫВ",IF(K15&lt;$C$2*0.1,"мало денег","ок"))</f>
        <v/>
      </c>
    </row>
    <row r="16">
      <c r="A16" s="6">
        <f>$C$3+10</f>
        <v/>
      </c>
      <c r="B16" s="7">
        <f>CHOOSE(WEEKDAY(A16,2),"пн","вт","ср","чт","пт","сб","вс")</f>
        <v/>
      </c>
      <c r="C16" s="8">
        <f>K15</f>
        <v/>
      </c>
      <c r="D16" s="9" t="n"/>
      <c r="E16" s="9" t="n"/>
      <c r="F16" s="8">
        <f>SUMIF(Регулярные!$B$4:$B$40,DAY(A16),Регулярные!$C$4:$C$40)</f>
        <v/>
      </c>
      <c r="G16" s="9" t="n"/>
      <c r="H16" s="9" t="n"/>
      <c r="I16" s="9" t="n"/>
      <c r="J16" s="8">
        <f>SUM(F16:I16)</f>
        <v/>
      </c>
      <c r="K16" s="8">
        <f>C16+IF(E16&lt;&gt;"",E16,D16)-J16</f>
        <v/>
      </c>
      <c r="L16" s="7">
        <f>IF(K16&lt;0,"КАССОВЫЙ РАЗРЫВ",IF(K16&lt;$C$2*0.1,"мало денег","ок"))</f>
        <v/>
      </c>
    </row>
    <row r="17">
      <c r="A17" s="6">
        <f>$C$3+11</f>
        <v/>
      </c>
      <c r="B17" s="7">
        <f>CHOOSE(WEEKDAY(A17,2),"пн","вт","ср","чт","пт","сб","вс")</f>
        <v/>
      </c>
      <c r="C17" s="8">
        <f>K16</f>
        <v/>
      </c>
      <c r="D17" s="9" t="n"/>
      <c r="E17" s="9" t="n"/>
      <c r="F17" s="8">
        <f>SUMIF(Регулярные!$B$4:$B$40,DAY(A17),Регулярные!$C$4:$C$40)</f>
        <v/>
      </c>
      <c r="G17" s="9" t="n"/>
      <c r="H17" s="9" t="n"/>
      <c r="I17" s="9" t="n"/>
      <c r="J17" s="8">
        <f>SUM(F17:I17)</f>
        <v/>
      </c>
      <c r="K17" s="8">
        <f>C17+IF(E17&lt;&gt;"",E17,D17)-J17</f>
        <v/>
      </c>
      <c r="L17" s="7">
        <f>IF(K17&lt;0,"КАССОВЫЙ РАЗРЫВ",IF(K17&lt;$C$2*0.1,"мало денег","ок"))</f>
        <v/>
      </c>
    </row>
    <row r="18">
      <c r="A18" s="10">
        <f>$C$3+12</f>
        <v/>
      </c>
      <c r="B18" s="11">
        <f>CHOOSE(WEEKDAY(A18,2),"пн","вт","ср","чт","пт","сб","вс")</f>
        <v/>
      </c>
      <c r="C18" s="8">
        <f>K17</f>
        <v/>
      </c>
      <c r="D18" s="9" t="n"/>
      <c r="E18" s="9" t="n"/>
      <c r="F18" s="8">
        <f>SUMIF(Регулярные!$B$4:$B$40,DAY(A18),Регулярные!$C$4:$C$40)</f>
        <v/>
      </c>
      <c r="G18" s="9" t="n"/>
      <c r="H18" s="9" t="n"/>
      <c r="I18" s="9" t="n"/>
      <c r="J18" s="8">
        <f>SUM(F18:I18)</f>
        <v/>
      </c>
      <c r="K18" s="8">
        <f>C18+IF(E18&lt;&gt;"",E18,D18)-J18</f>
        <v/>
      </c>
      <c r="L18" s="7">
        <f>IF(K18&lt;0,"КАССОВЫЙ РАЗРЫВ",IF(K18&lt;$C$2*0.1,"мало денег","ок"))</f>
        <v/>
      </c>
    </row>
    <row r="19">
      <c r="A19" s="10">
        <f>$C$3+13</f>
        <v/>
      </c>
      <c r="B19" s="11">
        <f>CHOOSE(WEEKDAY(A19,2),"пн","вт","ср","чт","пт","сб","вс")</f>
        <v/>
      </c>
      <c r="C19" s="8">
        <f>K18</f>
        <v/>
      </c>
      <c r="D19" s="9" t="n"/>
      <c r="E19" s="9" t="n"/>
      <c r="F19" s="8">
        <f>SUMIF(Регулярные!$B$4:$B$40,DAY(A19),Регулярные!$C$4:$C$40)</f>
        <v/>
      </c>
      <c r="G19" s="9" t="n"/>
      <c r="H19" s="9" t="n"/>
      <c r="I19" s="9" t="n"/>
      <c r="J19" s="8">
        <f>SUM(F19:I19)</f>
        <v/>
      </c>
      <c r="K19" s="8">
        <f>C19+IF(E19&lt;&gt;"",E19,D19)-J19</f>
        <v/>
      </c>
      <c r="L19" s="7">
        <f>IF(K19&lt;0,"КАССОВЫЙ РАЗРЫВ",IF(K19&lt;$C$2*0.1,"мало денег","ок"))</f>
        <v/>
      </c>
    </row>
    <row r="20">
      <c r="A20" s="6">
        <f>$C$3+14</f>
        <v/>
      </c>
      <c r="B20" s="7">
        <f>CHOOSE(WEEKDAY(A20,2),"пн","вт","ср","чт","пт","сб","вс")</f>
        <v/>
      </c>
      <c r="C20" s="8">
        <f>K19</f>
        <v/>
      </c>
      <c r="D20" s="9" t="n">
        <v>160000</v>
      </c>
      <c r="E20" s="9" t="n"/>
      <c r="F20" s="8">
        <f>SUMIF(Регулярные!$B$4:$B$40,DAY(A20),Регулярные!$C$4:$C$40)</f>
        <v/>
      </c>
      <c r="G20" s="9" t="n"/>
      <c r="H20" s="9" t="n"/>
      <c r="I20" s="9" t="n"/>
      <c r="J20" s="8">
        <f>SUM(F20:I20)</f>
        <v/>
      </c>
      <c r="K20" s="8">
        <f>C20+IF(E20&lt;&gt;"",E20,D20)-J20</f>
        <v/>
      </c>
      <c r="L20" s="7">
        <f>IF(K20&lt;0,"КАССОВЫЙ РАЗРЫВ",IF(K20&lt;$C$2*0.1,"мало денег","ок"))</f>
        <v/>
      </c>
    </row>
    <row r="21">
      <c r="A21" s="6">
        <f>$C$3+15</f>
        <v/>
      </c>
      <c r="B21" s="7">
        <f>CHOOSE(WEEKDAY(A21,2),"пн","вт","ср","чт","пт","сб","вс")</f>
        <v/>
      </c>
      <c r="C21" s="8">
        <f>K20</f>
        <v/>
      </c>
      <c r="D21" s="9" t="n"/>
      <c r="E21" s="9" t="n"/>
      <c r="F21" s="8">
        <f>SUMIF(Регулярные!$B$4:$B$40,DAY(A21),Регулярные!$C$4:$C$40)</f>
        <v/>
      </c>
      <c r="G21" s="9" t="n"/>
      <c r="H21" s="9" t="n"/>
      <c r="I21" s="9" t="n"/>
      <c r="J21" s="8">
        <f>SUM(F21:I21)</f>
        <v/>
      </c>
      <c r="K21" s="8">
        <f>C21+IF(E21&lt;&gt;"",E21,D21)-J21</f>
        <v/>
      </c>
      <c r="L21" s="7">
        <f>IF(K21&lt;0,"КАССОВЫЙ РАЗРЫВ",IF(K21&lt;$C$2*0.1,"мало денег","ок"))</f>
        <v/>
      </c>
    </row>
    <row r="22">
      <c r="A22" s="6">
        <f>$C$3+16</f>
        <v/>
      </c>
      <c r="B22" s="7">
        <f>CHOOSE(WEEKDAY(A22,2),"пн","вт","ср","чт","пт","сб","вс")</f>
        <v/>
      </c>
      <c r="C22" s="8">
        <f>K21</f>
        <v/>
      </c>
      <c r="D22" s="9" t="n"/>
      <c r="E22" s="9" t="n"/>
      <c r="F22" s="8">
        <f>SUMIF(Регулярные!$B$4:$B$40,DAY(A22),Регулярные!$C$4:$C$40)</f>
        <v/>
      </c>
      <c r="G22" s="9" t="n"/>
      <c r="H22" s="9" t="n">
        <v>140000</v>
      </c>
      <c r="I22" s="9" t="n"/>
      <c r="J22" s="8">
        <f>SUM(F22:I22)</f>
        <v/>
      </c>
      <c r="K22" s="8">
        <f>C22+IF(E22&lt;&gt;"",E22,D22)-J22</f>
        <v/>
      </c>
      <c r="L22" s="7">
        <f>IF(K22&lt;0,"КАССОВЫЙ РАЗРЫВ",IF(K22&lt;$C$2*0.1,"мало денег","ок"))</f>
        <v/>
      </c>
    </row>
    <row r="23">
      <c r="A23" s="6">
        <f>$C$3+17</f>
        <v/>
      </c>
      <c r="B23" s="7">
        <f>CHOOSE(WEEKDAY(A23,2),"пн","вт","ср","чт","пт","сб","вс")</f>
        <v/>
      </c>
      <c r="C23" s="8">
        <f>K22</f>
        <v/>
      </c>
      <c r="D23" s="9" t="n"/>
      <c r="E23" s="9" t="n"/>
      <c r="F23" s="8">
        <f>SUMIF(Регулярные!$B$4:$B$40,DAY(A23),Регулярные!$C$4:$C$40)</f>
        <v/>
      </c>
      <c r="G23" s="9" t="n"/>
      <c r="H23" s="9" t="n"/>
      <c r="I23" s="9" t="n"/>
      <c r="J23" s="8">
        <f>SUM(F23:I23)</f>
        <v/>
      </c>
      <c r="K23" s="8">
        <f>C23+IF(E23&lt;&gt;"",E23,D23)-J23</f>
        <v/>
      </c>
      <c r="L23" s="7">
        <f>IF(K23&lt;0,"КАССОВЫЙ РАЗРЫВ",IF(K23&lt;$C$2*0.1,"мало денег","ок"))</f>
        <v/>
      </c>
    </row>
    <row r="24">
      <c r="A24" s="6">
        <f>$C$3+18</f>
        <v/>
      </c>
      <c r="B24" s="7">
        <f>CHOOSE(WEEKDAY(A24,2),"пн","вт","ср","чт","пт","сб","вс")</f>
        <v/>
      </c>
      <c r="C24" s="8">
        <f>K23</f>
        <v/>
      </c>
      <c r="D24" s="9" t="n">
        <v>60000</v>
      </c>
      <c r="E24" s="9" t="n"/>
      <c r="F24" s="8">
        <f>SUMIF(Регулярные!$B$4:$B$40,DAY(A24),Регулярные!$C$4:$C$40)</f>
        <v/>
      </c>
      <c r="G24" s="9" t="n"/>
      <c r="H24" s="9" t="n"/>
      <c r="I24" s="9" t="n"/>
      <c r="J24" s="8">
        <f>SUM(F24:I24)</f>
        <v/>
      </c>
      <c r="K24" s="8">
        <f>C24+IF(E24&lt;&gt;"",E24,D24)-J24</f>
        <v/>
      </c>
      <c r="L24" s="7">
        <f>IF(K24&lt;0,"КАССОВЫЙ РАЗРЫВ",IF(K24&lt;$C$2*0.1,"мало денег","ок"))</f>
        <v/>
      </c>
    </row>
    <row r="25">
      <c r="A25" s="10">
        <f>$C$3+19</f>
        <v/>
      </c>
      <c r="B25" s="11">
        <f>CHOOSE(WEEKDAY(A25,2),"пн","вт","ср","чт","пт","сб","вс")</f>
        <v/>
      </c>
      <c r="C25" s="8">
        <f>K24</f>
        <v/>
      </c>
      <c r="D25" s="9" t="n"/>
      <c r="E25" s="9" t="n"/>
      <c r="F25" s="8">
        <f>SUMIF(Регулярные!$B$4:$B$40,DAY(A25),Регулярные!$C$4:$C$40)</f>
        <v/>
      </c>
      <c r="G25" s="9" t="n"/>
      <c r="H25" s="9" t="n"/>
      <c r="I25" s="9" t="n"/>
      <c r="J25" s="8">
        <f>SUM(F25:I25)</f>
        <v/>
      </c>
      <c r="K25" s="8">
        <f>C25+IF(E25&lt;&gt;"",E25,D25)-J25</f>
        <v/>
      </c>
      <c r="L25" s="7">
        <f>IF(K25&lt;0,"КАССОВЫЙ РАЗРЫВ",IF(K25&lt;$C$2*0.1,"мало денег","ок"))</f>
        <v/>
      </c>
    </row>
    <row r="26">
      <c r="A26" s="10">
        <f>$C$3+20</f>
        <v/>
      </c>
      <c r="B26" s="11">
        <f>CHOOSE(WEEKDAY(A26,2),"пн","вт","ср","чт","пт","сб","вс")</f>
        <v/>
      </c>
      <c r="C26" s="8">
        <f>K25</f>
        <v/>
      </c>
      <c r="D26" s="9" t="n"/>
      <c r="E26" s="9" t="n"/>
      <c r="F26" s="8">
        <f>SUMIF(Регулярные!$B$4:$B$40,DAY(A26),Регулярные!$C$4:$C$40)</f>
        <v/>
      </c>
      <c r="G26" s="9" t="n"/>
      <c r="H26" s="9" t="n"/>
      <c r="I26" s="9" t="n"/>
      <c r="J26" s="8">
        <f>SUM(F26:I26)</f>
        <v/>
      </c>
      <c r="K26" s="8">
        <f>C26+IF(E26&lt;&gt;"",E26,D26)-J26</f>
        <v/>
      </c>
      <c r="L26" s="7">
        <f>IF(K26&lt;0,"КАССОВЫЙ РАЗРЫВ",IF(K26&lt;$C$2*0.1,"мало денег","ок"))</f>
        <v/>
      </c>
    </row>
    <row r="27">
      <c r="A27" s="6">
        <f>$C$3+21</f>
        <v/>
      </c>
      <c r="B27" s="7">
        <f>CHOOSE(WEEKDAY(A27,2),"пн","вт","ср","чт","пт","сб","вс")</f>
        <v/>
      </c>
      <c r="C27" s="8">
        <f>K26</f>
        <v/>
      </c>
      <c r="D27" s="9" t="n">
        <v>250000</v>
      </c>
      <c r="E27" s="9" t="n"/>
      <c r="F27" s="8">
        <f>SUMIF(Регулярные!$B$4:$B$40,DAY(A27),Регулярные!$C$4:$C$40)</f>
        <v/>
      </c>
      <c r="G27" s="9" t="n"/>
      <c r="H27" s="9" t="n"/>
      <c r="I27" s="9" t="n"/>
      <c r="J27" s="8">
        <f>SUM(F27:I27)</f>
        <v/>
      </c>
      <c r="K27" s="8">
        <f>C27+IF(E27&lt;&gt;"",E27,D27)-J27</f>
        <v/>
      </c>
      <c r="L27" s="7">
        <f>IF(K27&lt;0,"КАССОВЫЙ РАЗРЫВ",IF(K27&lt;$C$2*0.1,"мало денег","ок"))</f>
        <v/>
      </c>
    </row>
    <row r="28">
      <c r="A28" s="6">
        <f>$C$3+22</f>
        <v/>
      </c>
      <c r="B28" s="7">
        <f>CHOOSE(WEEKDAY(A28,2),"пн","вт","ср","чт","пт","сб","вс")</f>
        <v/>
      </c>
      <c r="C28" s="8">
        <f>K27</f>
        <v/>
      </c>
      <c r="D28" s="9" t="n"/>
      <c r="E28" s="9" t="n"/>
      <c r="F28" s="8">
        <f>SUMIF(Регулярные!$B$4:$B$40,DAY(A28),Регулярные!$C$4:$C$40)</f>
        <v/>
      </c>
      <c r="G28" s="9" t="n"/>
      <c r="H28" s="9" t="n"/>
      <c r="I28" s="9" t="n"/>
      <c r="J28" s="8">
        <f>SUM(F28:I28)</f>
        <v/>
      </c>
      <c r="K28" s="8">
        <f>C28+IF(E28&lt;&gt;"",E28,D28)-J28</f>
        <v/>
      </c>
      <c r="L28" s="7">
        <f>IF(K28&lt;0,"КАССОВЫЙ РАЗРЫВ",IF(K28&lt;$C$2*0.1,"мало денег","ок"))</f>
        <v/>
      </c>
    </row>
    <row r="29">
      <c r="A29" s="6">
        <f>$C$3+23</f>
        <v/>
      </c>
      <c r="B29" s="7">
        <f>CHOOSE(WEEKDAY(A29,2),"пн","вт","ср","чт","пт","сб","вс")</f>
        <v/>
      </c>
      <c r="C29" s="8">
        <f>K28</f>
        <v/>
      </c>
      <c r="D29" s="9" t="n"/>
      <c r="E29" s="9" t="n"/>
      <c r="F29" s="8">
        <f>SUMIF(Регулярные!$B$4:$B$40,DAY(A29),Регулярные!$C$4:$C$40)</f>
        <v/>
      </c>
      <c r="G29" s="9" t="n"/>
      <c r="H29" s="9" t="n"/>
      <c r="I29" s="9" t="n"/>
      <c r="J29" s="8">
        <f>SUM(F29:I29)</f>
        <v/>
      </c>
      <c r="K29" s="8">
        <f>C29+IF(E29&lt;&gt;"",E29,D29)-J29</f>
        <v/>
      </c>
      <c r="L29" s="7">
        <f>IF(K29&lt;0,"КАССОВЫЙ РАЗРЫВ",IF(K29&lt;$C$2*0.1,"мало денег","ок"))</f>
        <v/>
      </c>
    </row>
    <row r="30">
      <c r="A30" s="6">
        <f>$C$3+24</f>
        <v/>
      </c>
      <c r="B30" s="7">
        <f>CHOOSE(WEEKDAY(A30,2),"пн","вт","ср","чт","пт","сб","вс")</f>
        <v/>
      </c>
      <c r="C30" s="8">
        <f>K29</f>
        <v/>
      </c>
      <c r="D30" s="9" t="n"/>
      <c r="E30" s="9" t="n"/>
      <c r="F30" s="8">
        <f>SUMIF(Регулярные!$B$4:$B$40,DAY(A30),Регулярные!$C$4:$C$40)</f>
        <v/>
      </c>
      <c r="G30" s="9" t="n"/>
      <c r="H30" s="9" t="n"/>
      <c r="I30" s="9" t="n">
        <v>35000</v>
      </c>
      <c r="J30" s="8">
        <f>SUM(F30:I30)</f>
        <v/>
      </c>
      <c r="K30" s="8">
        <f>C30+IF(E30&lt;&gt;"",E30,D30)-J30</f>
        <v/>
      </c>
      <c r="L30" s="7">
        <f>IF(K30&lt;0,"КАССОВЫЙ РАЗРЫВ",IF(K30&lt;$C$2*0.1,"мало денег","ок"))</f>
        <v/>
      </c>
    </row>
    <row r="31">
      <c r="A31" s="6">
        <f>$C$3+25</f>
        <v/>
      </c>
      <c r="B31" s="7">
        <f>CHOOSE(WEEKDAY(A31,2),"пн","вт","ср","чт","пт","сб","вс")</f>
        <v/>
      </c>
      <c r="C31" s="8">
        <f>K30</f>
        <v/>
      </c>
      <c r="D31" s="9" t="n"/>
      <c r="E31" s="9" t="n"/>
      <c r="F31" s="8">
        <f>SUMIF(Регулярные!$B$4:$B$40,DAY(A31),Регулярные!$C$4:$C$40)</f>
        <v/>
      </c>
      <c r="G31" s="9" t="n"/>
      <c r="H31" s="9" t="n"/>
      <c r="I31" s="9" t="n"/>
      <c r="J31" s="8">
        <f>SUM(F31:I31)</f>
        <v/>
      </c>
      <c r="K31" s="8">
        <f>C31+IF(E31&lt;&gt;"",E31,D31)-J31</f>
        <v/>
      </c>
      <c r="L31" s="7">
        <f>IF(K31&lt;0,"КАССОВЫЙ РАЗРЫВ",IF(K31&lt;$C$2*0.1,"мало денег","ок"))</f>
        <v/>
      </c>
    </row>
    <row r="32">
      <c r="A32" s="10">
        <f>$C$3+26</f>
        <v/>
      </c>
      <c r="B32" s="11">
        <f>CHOOSE(WEEKDAY(A32,2),"пн","вт","ср","чт","пт","сб","вс")</f>
        <v/>
      </c>
      <c r="C32" s="8">
        <f>K31</f>
        <v/>
      </c>
      <c r="D32" s="9" t="n"/>
      <c r="E32" s="9" t="n"/>
      <c r="F32" s="8">
        <f>SUMIF(Регулярные!$B$4:$B$40,DAY(A32),Регулярные!$C$4:$C$40)</f>
        <v/>
      </c>
      <c r="G32" s="9" t="n"/>
      <c r="H32" s="9" t="n"/>
      <c r="I32" s="9" t="n"/>
      <c r="J32" s="8">
        <f>SUM(F32:I32)</f>
        <v/>
      </c>
      <c r="K32" s="8">
        <f>C32+IF(E32&lt;&gt;"",E32,D32)-J32</f>
        <v/>
      </c>
      <c r="L32" s="7">
        <f>IF(K32&lt;0,"КАССОВЫЙ РАЗРЫВ",IF(K32&lt;$C$2*0.1,"мало денег","ок"))</f>
        <v/>
      </c>
    </row>
    <row r="33">
      <c r="A33" s="10">
        <f>$C$3+27</f>
        <v/>
      </c>
      <c r="B33" s="11">
        <f>CHOOSE(WEEKDAY(A33,2),"пн","вт","ср","чт","пт","сб","вс")</f>
        <v/>
      </c>
      <c r="C33" s="8">
        <f>K32</f>
        <v/>
      </c>
      <c r="D33" s="9" t="n">
        <v>230000</v>
      </c>
      <c r="E33" s="9" t="n"/>
      <c r="F33" s="8">
        <f>SUMIF(Регулярные!$B$4:$B$40,DAY(A33),Регулярные!$C$4:$C$40)</f>
        <v/>
      </c>
      <c r="G33" s="9" t="n"/>
      <c r="H33" s="9" t="n"/>
      <c r="I33" s="9" t="n"/>
      <c r="J33" s="8">
        <f>SUM(F33:I33)</f>
        <v/>
      </c>
      <c r="K33" s="8">
        <f>C33+IF(E33&lt;&gt;"",E33,D33)-J33</f>
        <v/>
      </c>
      <c r="L33" s="7">
        <f>IF(K33&lt;0,"КАССОВЫЙ РАЗРЫВ",IF(K33&lt;$C$2*0.1,"мало денег","ок"))</f>
        <v/>
      </c>
    </row>
    <row r="34">
      <c r="A34" s="6">
        <f>$C$3+28</f>
        <v/>
      </c>
      <c r="B34" s="7">
        <f>CHOOSE(WEEKDAY(A34,2),"пн","вт","ср","чт","пт","сб","вс")</f>
        <v/>
      </c>
      <c r="C34" s="8">
        <f>K33</f>
        <v/>
      </c>
      <c r="D34" s="9" t="n"/>
      <c r="E34" s="9" t="n"/>
      <c r="F34" s="8">
        <f>SUMIF(Регулярные!$B$4:$B$40,DAY(A34),Регулярные!$C$4:$C$40)</f>
        <v/>
      </c>
      <c r="G34" s="9" t="n"/>
      <c r="H34" s="9" t="n"/>
      <c r="I34" s="9" t="n"/>
      <c r="J34" s="8">
        <f>SUM(F34:I34)</f>
        <v/>
      </c>
      <c r="K34" s="8">
        <f>C34+IF(E34&lt;&gt;"",E34,D34)-J34</f>
        <v/>
      </c>
      <c r="L34" s="7">
        <f>IF(K34&lt;0,"КАССОВЫЙ РАЗРЫВ",IF(K34&lt;$C$2*0.1,"мало денег","ок"))</f>
        <v/>
      </c>
    </row>
    <row r="35">
      <c r="A35" s="6">
        <f>$C$3+29</f>
        <v/>
      </c>
      <c r="B35" s="7">
        <f>CHOOSE(WEEKDAY(A35,2),"пн","вт","ср","чт","пт","сб","вс")</f>
        <v/>
      </c>
      <c r="C35" s="8">
        <f>K34</f>
        <v/>
      </c>
      <c r="D35" s="9" t="n"/>
      <c r="E35" s="9" t="n"/>
      <c r="F35" s="8">
        <f>SUMIF(Регулярные!$B$4:$B$40,DAY(A35),Регулярные!$C$4:$C$40)</f>
        <v/>
      </c>
      <c r="G35" s="9" t="n"/>
      <c r="H35" s="9" t="n"/>
      <c r="I35" s="9" t="n"/>
      <c r="J35" s="8">
        <f>SUM(F35:I35)</f>
        <v/>
      </c>
      <c r="K35" s="8">
        <f>C35+IF(E35&lt;&gt;"",E35,D35)-J35</f>
        <v/>
      </c>
      <c r="L35" s="7">
        <f>IF(K35&lt;0,"КАССОВЫЙ РАЗРЫВ",IF(K35&lt;$C$2*0.1,"мало денег","ок"))</f>
        <v/>
      </c>
    </row>
    <row r="36">
      <c r="A36" s="6">
        <f>$C$3+30</f>
        <v/>
      </c>
      <c r="B36" s="7">
        <f>CHOOSE(WEEKDAY(A36,2),"пн","вт","ср","чт","пт","сб","вс")</f>
        <v/>
      </c>
      <c r="C36" s="8">
        <f>K35</f>
        <v/>
      </c>
      <c r="D36" s="9" t="n"/>
      <c r="E36" s="9" t="n"/>
      <c r="F36" s="8">
        <f>SUMIF(Регулярные!$B$4:$B$40,DAY(A36),Регулярные!$C$4:$C$40)</f>
        <v/>
      </c>
      <c r="G36" s="9" t="n"/>
      <c r="H36" s="9" t="n"/>
      <c r="I36" s="9" t="n"/>
      <c r="J36" s="8">
        <f>SUM(F36:I36)</f>
        <v/>
      </c>
      <c r="K36" s="8">
        <f>C36+IF(E36&lt;&gt;"",E36,D36)-J36</f>
        <v/>
      </c>
      <c r="L36" s="7">
        <f>IF(K36&lt;0,"КАССОВЫЙ РАЗРЫВ",IF(K36&lt;$C$2*0.1,"мало денег","ок"))</f>
        <v/>
      </c>
    </row>
    <row r="37">
      <c r="A37" s="12" t="inlineStr">
        <is>
          <t>Итого за период</t>
        </is>
      </c>
      <c r="D37" s="13">
        <f>SUM(D6:D36)</f>
        <v/>
      </c>
      <c r="E37" s="13">
        <f>SUM(E6:E36)</f>
        <v/>
      </c>
      <c r="F37" s="13">
        <f>SUM(F6:F36)</f>
        <v/>
      </c>
      <c r="G37" s="13">
        <f>SUM(G6:G36)</f>
        <v/>
      </c>
      <c r="H37" s="13">
        <f>SUM(H6:H36)</f>
        <v/>
      </c>
      <c r="I37" s="13">
        <f>SUM(I6:I36)</f>
        <v/>
      </c>
      <c r="J37" s="13">
        <f>SUM(J6:J36)</f>
        <v/>
      </c>
      <c r="K37" s="14">
        <f>K36</f>
        <v/>
      </c>
    </row>
    <row r="38">
      <c r="A38" s="12" t="inlineStr">
        <is>
          <t>Минимальный остаток за период</t>
        </is>
      </c>
      <c r="K38" s="15">
        <f>MIN(K6:K36)</f>
        <v/>
      </c>
    </row>
    <row r="39">
      <c r="A39" s="12" t="inlineStr">
        <is>
          <t>Дней с кассовым разрывом</t>
        </is>
      </c>
      <c r="K39">
        <f>COUNTIF(L6:L36,"КАССОВЫЙ РАЗРЫВ")</f>
        <v/>
      </c>
    </row>
  </sheetData>
  <mergeCells count="1">
    <mergeCell ref="E2:L3"/>
  </mergeCells>
  <conditionalFormatting sqref="A6:L36">
    <cfRule type="expression" priority="1" dxfId="0">
      <formula>$K6&lt;0</formula>
    </cfRule>
    <cfRule type="expression" priority="2" dxfId="1">
      <formula>AND($K6&gt;=0,$K6&lt;$C$2*0.1)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36" customWidth="1" min="4" max="4"/>
  </cols>
  <sheetData>
    <row r="1">
      <c r="A1" s="1" t="inlineStr">
        <is>
          <t>Регулярные платежи</t>
        </is>
      </c>
    </row>
    <row r="2">
      <c r="A2" t="inlineStr">
        <is>
          <t>Заполните один раз — календарь сам подставит сумму в нужный день месяца.</t>
        </is>
      </c>
    </row>
    <row r="3">
      <c r="A3" s="16" t="inlineStr">
        <is>
          <t>Платёж</t>
        </is>
      </c>
      <c r="B3" s="16" t="inlineStr">
        <is>
          <t>День месяца</t>
        </is>
      </c>
      <c r="C3" s="16" t="inlineStr">
        <is>
          <t>Сумма, ₽</t>
        </is>
      </c>
      <c r="D3" s="16" t="inlineStr">
        <is>
          <t>Комментарий</t>
        </is>
      </c>
    </row>
    <row r="4">
      <c r="A4" s="17" t="inlineStr">
        <is>
          <t>Аренда офиса</t>
        </is>
      </c>
      <c r="B4" s="17" t="n">
        <v>5</v>
      </c>
      <c r="C4" s="9" t="n">
        <v>85000</v>
      </c>
      <c r="D4" s="17" t="inlineStr">
        <is>
          <t>по договору аренды</t>
        </is>
      </c>
    </row>
    <row r="5">
      <c r="A5" s="17" t="inlineStr">
        <is>
          <t>Зарплата, остаток за прошлый месяц</t>
        </is>
      </c>
      <c r="B5" s="17" t="n">
        <v>5</v>
      </c>
      <c r="C5" s="9" t="n">
        <v>240000</v>
      </c>
      <c r="D5" s="17" t="inlineStr"/>
    </row>
    <row r="6">
      <c r="A6" s="17" t="inlineStr">
        <is>
          <t>Подписки на сервисы</t>
        </is>
      </c>
      <c r="B6" s="17" t="n">
        <v>1</v>
      </c>
      <c r="C6" s="9" t="n">
        <v>14000</v>
      </c>
      <c r="D6" s="17" t="inlineStr">
        <is>
          <t>CRM, бухгалтерия, телефония</t>
        </is>
      </c>
    </row>
    <row r="7">
      <c r="A7" s="17" t="inlineStr">
        <is>
          <t>Связь и интернет</t>
        </is>
      </c>
      <c r="B7" s="17" t="n">
        <v>10</v>
      </c>
      <c r="C7" s="9" t="n">
        <v>6500</v>
      </c>
      <c r="D7" s="17" t="inlineStr"/>
    </row>
    <row r="8">
      <c r="A8" s="17" t="inlineStr">
        <is>
          <t>Лизинг / кредит</t>
        </is>
      </c>
      <c r="B8" s="17" t="n">
        <v>15</v>
      </c>
      <c r="C8" s="9" t="n">
        <v>48000</v>
      </c>
      <c r="D8" s="17" t="inlineStr"/>
    </row>
    <row r="9">
      <c r="A9" s="17" t="inlineStr">
        <is>
          <t>Зарплата, аванс</t>
        </is>
      </c>
      <c r="B9" s="17" t="n">
        <v>20</v>
      </c>
      <c r="C9" s="9" t="n">
        <v>240000</v>
      </c>
      <c r="D9" s="17" t="inlineStr"/>
    </row>
    <row r="10">
      <c r="A10" s="17" t="inlineStr">
        <is>
          <t>Налоги и взносы</t>
        </is>
      </c>
      <c r="B10" s="17" t="n">
        <v>28</v>
      </c>
      <c r="C10" s="9" t="n">
        <v>96000</v>
      </c>
      <c r="D10" s="17" t="inlineStr">
        <is>
          <t>ЕНП</t>
        </is>
      </c>
    </row>
    <row r="11">
      <c r="A11" s="17" t="n"/>
      <c r="B11" s="17" t="n"/>
      <c r="C11" s="9" t="n"/>
      <c r="D11" s="17" t="n"/>
    </row>
    <row r="12">
      <c r="A12" s="17" t="n"/>
      <c r="B12" s="17" t="n"/>
      <c r="C12" s="9" t="n"/>
      <c r="D12" s="17" t="n"/>
    </row>
    <row r="13">
      <c r="A13" s="17" t="n"/>
      <c r="B13" s="17" t="n"/>
      <c r="C13" s="9" t="n"/>
      <c r="D13" s="17" t="n"/>
    </row>
    <row r="14">
      <c r="A14" s="17" t="n"/>
      <c r="B14" s="17" t="n"/>
      <c r="C14" s="9" t="n"/>
      <c r="D14" s="17" t="n"/>
    </row>
    <row r="15">
      <c r="A15" s="17" t="n"/>
      <c r="B15" s="17" t="n"/>
      <c r="C15" s="9" t="n"/>
      <c r="D15" s="17" t="n"/>
    </row>
    <row r="16">
      <c r="A16" s="17" t="n"/>
      <c r="B16" s="17" t="n"/>
      <c r="C16" s="9" t="n"/>
      <c r="D16" s="17" t="n"/>
    </row>
    <row r="17">
      <c r="A17" s="17" t="n"/>
      <c r="B17" s="17" t="n"/>
      <c r="C17" s="9" t="n"/>
      <c r="D17" s="17" t="n"/>
    </row>
    <row r="18">
      <c r="A18" s="17" t="n"/>
      <c r="B18" s="17" t="n"/>
      <c r="C18" s="9" t="n"/>
      <c r="D18" s="17" t="n"/>
    </row>
    <row r="19">
      <c r="A19" s="17" t="n"/>
      <c r="B19" s="17" t="n"/>
      <c r="C19" s="9" t="n"/>
      <c r="D19" s="17" t="n"/>
    </row>
    <row r="20">
      <c r="A20" s="17" t="n"/>
      <c r="B20" s="17" t="n"/>
      <c r="C20" s="9" t="n"/>
      <c r="D20" s="17" t="n"/>
    </row>
    <row r="21">
      <c r="A21" s="17" t="n"/>
      <c r="B21" s="17" t="n"/>
      <c r="C21" s="9" t="n"/>
      <c r="D21" s="17" t="n"/>
    </row>
    <row r="22">
      <c r="A22" s="17" t="n"/>
      <c r="B22" s="17" t="n"/>
      <c r="C22" s="9" t="n"/>
      <c r="D22" s="17" t="n"/>
    </row>
    <row r="23">
      <c r="A23" s="17" t="n"/>
      <c r="B23" s="17" t="n"/>
      <c r="C23" s="9" t="n"/>
      <c r="D23" s="17" t="n"/>
    </row>
    <row r="24">
      <c r="A24" s="17" t="n"/>
      <c r="B24" s="17" t="n"/>
      <c r="C24" s="9" t="n"/>
      <c r="D24" s="17" t="n"/>
    </row>
    <row r="25">
      <c r="A25" s="17" t="n"/>
      <c r="B25" s="17" t="n"/>
      <c r="C25" s="9" t="n"/>
      <c r="D25" s="17" t="n"/>
    </row>
    <row r="26">
      <c r="A26" s="17" t="n"/>
      <c r="B26" s="17" t="n"/>
      <c r="C26" s="9" t="n"/>
      <c r="D26" s="17" t="n"/>
    </row>
    <row r="27">
      <c r="A27" s="17" t="n"/>
      <c r="B27" s="17" t="n"/>
      <c r="C27" s="9" t="n"/>
      <c r="D27" s="17" t="n"/>
    </row>
    <row r="28">
      <c r="A28" s="17" t="n"/>
      <c r="B28" s="17" t="n"/>
      <c r="C28" s="9" t="n"/>
      <c r="D28" s="17" t="n"/>
    </row>
    <row r="29">
      <c r="A29" s="17" t="n"/>
      <c r="B29" s="17" t="n"/>
      <c r="C29" s="9" t="n"/>
      <c r="D29" s="17" t="n"/>
    </row>
    <row r="30">
      <c r="A30" s="17" t="n"/>
      <c r="B30" s="17" t="n"/>
      <c r="C30" s="9" t="n"/>
      <c r="D30" s="17" t="n"/>
    </row>
    <row r="31">
      <c r="A31" s="17" t="n"/>
      <c r="B31" s="17" t="n"/>
      <c r="C31" s="9" t="n"/>
      <c r="D31" s="17" t="n"/>
    </row>
    <row r="32">
      <c r="A32" s="17" t="n"/>
      <c r="B32" s="17" t="n"/>
      <c r="C32" s="9" t="n"/>
      <c r="D32" s="17" t="n"/>
    </row>
    <row r="33">
      <c r="A33" s="17" t="n"/>
      <c r="B33" s="17" t="n"/>
      <c r="C33" s="9" t="n"/>
      <c r="D33" s="17" t="n"/>
    </row>
    <row r="34">
      <c r="A34" s="17" t="n"/>
      <c r="B34" s="17" t="n"/>
      <c r="C34" s="9" t="n"/>
      <c r="D34" s="17" t="n"/>
    </row>
    <row r="35">
      <c r="A35" s="17" t="n"/>
      <c r="B35" s="17" t="n"/>
      <c r="C35" s="9" t="n"/>
      <c r="D35" s="17" t="n"/>
    </row>
    <row r="36">
      <c r="A36" s="17" t="n"/>
      <c r="B36" s="17" t="n"/>
      <c r="C36" s="9" t="n"/>
      <c r="D36" s="17" t="n"/>
    </row>
    <row r="37">
      <c r="A37" s="17" t="n"/>
      <c r="B37" s="17" t="n"/>
      <c r="C37" s="9" t="n"/>
      <c r="D37" s="17" t="n"/>
    </row>
    <row r="38">
      <c r="A38" s="17" t="n"/>
      <c r="B38" s="17" t="n"/>
      <c r="C38" s="9" t="n"/>
      <c r="D38" s="17" t="n"/>
    </row>
    <row r="39">
      <c r="A39" s="17" t="n"/>
      <c r="B39" s="17" t="n"/>
      <c r="C39" s="9" t="n"/>
      <c r="D39" s="17" t="n"/>
    </row>
    <row r="40">
      <c r="A40" s="17" t="n"/>
      <c r="B40" s="17" t="n"/>
      <c r="C40" s="9" t="n"/>
      <c r="D40" s="17" t="n"/>
    </row>
  </sheetData>
  <dataValidations count="1">
    <dataValidation sqref="B4:B40" showDropDown="0" showInputMessage="0" showErrorMessage="0" allowBlank="1" error="День месяца от 1 до 31" type="whole" operator="between">
      <formula1>1</formula1>
      <formula2>31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Шаблон платёжного календаря</t>
        </is>
      </c>
    </row>
    <row r="2">
      <c r="A2" s="19" t="inlineStr"/>
    </row>
    <row r="3">
      <c r="A3" s="19" t="inlineStr">
        <is>
          <t>1. На листе «Календарь» укажите остаток на счёте на начало периода и первый день (ячейки C2 и C3).</t>
        </is>
      </c>
    </row>
    <row r="4">
      <c r="A4" s="19" t="inlineStr">
        <is>
          <t>2. На листе «Регулярные» впишите аренду, зарплату, налоги, подписки с днём месяца. Они подставятся в календарь сами.</t>
        </is>
      </c>
    </row>
    <row r="5">
      <c r="A5" s="19" t="inlineStr">
        <is>
          <t>3. Плановые поступления вносите в столбец «Поступления, план» на дату, когда клиент обещал оплатить.</t>
        </is>
      </c>
    </row>
    <row r="6">
      <c r="A6" s="19" t="inlineStr">
        <is>
          <t>4. Когда деньги пришли, впишите сумму в «Поступления, факт». Пока факт пустой, расчёт идёт по плану.</t>
        </is>
      </c>
    </row>
    <row r="7">
      <c r="A7" s="19" t="inlineStr">
        <is>
          <t>5. Разовые расходы записывайте в «Поставщики» и «Прочее», зарплату и налоги вне графика в «Зарплата и налоги».</t>
        </is>
      </c>
    </row>
    <row r="8">
      <c r="A8" s="19" t="inlineStr">
        <is>
          <t>6. Остаток на конец дня считается нарастающим итогом. Красная строка означает кассовый разрыв, жёлтая остаток ниже 10 % от стартового.</t>
        </is>
      </c>
    </row>
    <row r="9">
      <c r="A9" s="19" t="inlineStr">
        <is>
          <t>7. Скопируйте лист «Календарь» на следующий месяц и перенесите остаток последнего дня в ячейку C2.</t>
        </is>
      </c>
    </row>
    <row r="10">
      <c r="A10" s="19" t="inlineStr"/>
    </row>
    <row r="11">
      <c r="A11" s="18" t="inlineStr">
        <is>
          <t>Где таблица перестаёт справляться</t>
        </is>
      </c>
    </row>
    <row r="12">
      <c r="A12" s="19" t="inlineStr">
        <is>
          <t>— счета выставляют в CRM или 1С, а сюда переносят руками, и часть платежей теряется;</t>
        </is>
      </c>
    </row>
    <row r="13">
      <c r="A13" s="19" t="inlineStr">
        <is>
          <t>— с файлом работают несколько человек, и появляются версии с разными цифрами;</t>
        </is>
      </c>
    </row>
    <row r="14">
      <c r="A14" s="19" t="inlineStr">
        <is>
          <t>— разрыв замечают, когда кто-то открыл файл, а не в момент, когда он возник.</t>
        </is>
      </c>
    </row>
    <row r="15">
      <c r="A15" s="19" t="inlineStr"/>
    </row>
    <row r="16">
      <c r="A16" s="19" t="inlineStr">
        <is>
          <t>Как платёжный календарь работает внутри CRM, когда счета и оплаты попадают в него сами: https://orbitax.ru/diary/platezhny-kalendar</t>
        </is>
      </c>
    </row>
    <row r="17">
      <c r="A17" s="19" t="inlineStr">
        <is>
          <t>Шаблон подготовлен командой «Орбита Икс», orbitax.ru. Можно использовать и менять свободно.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2026-09-16T04:06:38Z</dcterms:created>
  <dcterms:modified xmlns:dcterms="http://purl.org/dc/terms/" xmlns:xsi="http://www.w3.org/2001/XMLSchema-instance" xsi:type="dcterms:W3CDTF">2026-09-16T04:06:38Z</dcterms:modified>
</cp:coreProperties>
</file>